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<sst xmlns="http://schemas.openxmlformats.org/spreadsheetml/2006/main" count="423" uniqueCount="326">
  <si>
    <t xml:space="preserve">moc </t>
  </si>
  <si>
    <t>kW</t>
  </si>
  <si>
    <t>Punkty poboru energii elektrycznej</t>
  </si>
  <si>
    <t>Taryfa</t>
  </si>
  <si>
    <t>kWh</t>
  </si>
  <si>
    <t>C11</t>
  </si>
  <si>
    <t>C12B</t>
  </si>
  <si>
    <t>przyłącz.</t>
  </si>
  <si>
    <t xml:space="preserve">Razem </t>
  </si>
  <si>
    <t>Kotłownie miałowe</t>
  </si>
  <si>
    <t>KR-1, ul. Kołobrzeska</t>
  </si>
  <si>
    <t>B23</t>
  </si>
  <si>
    <t>reszta doby</t>
  </si>
  <si>
    <t>dzienna</t>
  </si>
  <si>
    <t>nocna</t>
  </si>
  <si>
    <t>Kotłownie gazowe</t>
  </si>
  <si>
    <t>Sikorskiego 31</t>
  </si>
  <si>
    <t>Boh. Warszawy 48</t>
  </si>
  <si>
    <t>Szczecińska 24</t>
  </si>
  <si>
    <t>Gdańska 4</t>
  </si>
  <si>
    <t>28-go Lutego 48</t>
  </si>
  <si>
    <t xml:space="preserve">Słowiańska </t>
  </si>
  <si>
    <t>Wyszyńskiego 61</t>
  </si>
  <si>
    <t>Cieślaka 6B</t>
  </si>
  <si>
    <t>1-go Maja 53</t>
  </si>
  <si>
    <t>Parkowa 3</t>
  </si>
  <si>
    <t>Ordona 16</t>
  </si>
  <si>
    <t>Pilska 30</t>
  </si>
  <si>
    <t>C12A</t>
  </si>
  <si>
    <t>C22B</t>
  </si>
  <si>
    <t>szczytowa</t>
  </si>
  <si>
    <t>Wymiennikownie</t>
  </si>
  <si>
    <t>Armii Krajowej 53</t>
  </si>
  <si>
    <t xml:space="preserve">Kopernika W-4 </t>
  </si>
  <si>
    <t xml:space="preserve">Winniczna W-16 </t>
  </si>
  <si>
    <t>Winniczna 8</t>
  </si>
  <si>
    <t>Winniczna 10</t>
  </si>
  <si>
    <t>Kościuszki 55</t>
  </si>
  <si>
    <t>Kościuszki 2-4</t>
  </si>
  <si>
    <t>28-go Lutego14 SM</t>
  </si>
  <si>
    <t>Przemysłowa 5</t>
  </si>
  <si>
    <t>Sikorskiego 24</t>
  </si>
  <si>
    <t>Artyleryjska 1</t>
  </si>
  <si>
    <t>Artyleryjska 3</t>
  </si>
  <si>
    <t>Kopernika 11E</t>
  </si>
  <si>
    <t>Kopernika 2A</t>
  </si>
  <si>
    <t>Kopernika 9A</t>
  </si>
  <si>
    <t>Kopernika 7A</t>
  </si>
  <si>
    <t>Poniatowskiego 2B</t>
  </si>
  <si>
    <t>Winniczna 6</t>
  </si>
  <si>
    <t>Wodociągowa DZ.17/2</t>
  </si>
  <si>
    <t>Reja 14-15-16</t>
  </si>
  <si>
    <t>Wyszyńskiego 32</t>
  </si>
  <si>
    <t>Wyszyńskiego 34</t>
  </si>
  <si>
    <t>Wyszyńskiego 29</t>
  </si>
  <si>
    <t>Wyszyńskiego 20</t>
  </si>
  <si>
    <t>Powst. Wlkp. 4</t>
  </si>
  <si>
    <t>Sadowa 6</t>
  </si>
  <si>
    <t>Jana Pawła II 6</t>
  </si>
  <si>
    <t>9-go Maja 34</t>
  </si>
  <si>
    <t>9-go Maja 6</t>
  </si>
  <si>
    <t>Plac Wolności 18</t>
  </si>
  <si>
    <t>Plac wolności 16</t>
  </si>
  <si>
    <t xml:space="preserve">Plac wolności 7 </t>
  </si>
  <si>
    <t>Zamkowa 11</t>
  </si>
  <si>
    <t>Ks. Elżbiety 5</t>
  </si>
  <si>
    <t>Ks. Elżbiety 2</t>
  </si>
  <si>
    <t>Junacka 2</t>
  </si>
  <si>
    <t>Boh. Warszawy 21</t>
  </si>
  <si>
    <t>1-go Maja 5</t>
  </si>
  <si>
    <t>1-go Maja 34-36</t>
  </si>
  <si>
    <t>A.Krajowej Szk.3   Gim.1</t>
  </si>
  <si>
    <t>Strażacka 3A</t>
  </si>
  <si>
    <t xml:space="preserve">Strażącka 3 </t>
  </si>
  <si>
    <t>Strażacka 2A</t>
  </si>
  <si>
    <t>Kościuszki 7</t>
  </si>
  <si>
    <t>Zielona 58 C</t>
  </si>
  <si>
    <t>Mierosławskiego 7</t>
  </si>
  <si>
    <t>Nowa 2</t>
  </si>
  <si>
    <t>W-Polna 27   dz.28/18</t>
  </si>
  <si>
    <t>W-Polna 33   dz.28/23</t>
  </si>
  <si>
    <t>W-Polna 31   dz.28/30</t>
  </si>
  <si>
    <t>W-Kosińskiego 19</t>
  </si>
  <si>
    <t>W-Polna 47</t>
  </si>
  <si>
    <t>Kosińskiego 32</t>
  </si>
  <si>
    <t>Koszalińska I</t>
  </si>
  <si>
    <t>Wiatraczna 1</t>
  </si>
  <si>
    <t>Koszalińska 81</t>
  </si>
  <si>
    <t>Koszalińska 89</t>
  </si>
  <si>
    <t>Koszalińska 91</t>
  </si>
  <si>
    <t>Kołobrzeska</t>
  </si>
  <si>
    <t>Krakowska</t>
  </si>
  <si>
    <t>W-21</t>
  </si>
  <si>
    <t xml:space="preserve">W-22 </t>
  </si>
  <si>
    <t xml:space="preserve">W-16 </t>
  </si>
  <si>
    <t>Karlińska 5b</t>
  </si>
  <si>
    <t>Karlińska 15</t>
  </si>
  <si>
    <t>Jeziorna 16</t>
  </si>
  <si>
    <t>Kościuszki 59B</t>
  </si>
  <si>
    <t>W-Polna 24    DPM</t>
  </si>
  <si>
    <t>Warszawska        W-CH</t>
  </si>
  <si>
    <t>28-go Lutego 4 IA</t>
  </si>
  <si>
    <t>Wyszyńskiego 37</t>
  </si>
  <si>
    <t>Koszalińska II</t>
  </si>
  <si>
    <t xml:space="preserve">Ogrodowa </t>
  </si>
  <si>
    <t>Armii Krajowej 25</t>
  </si>
  <si>
    <t>pozoszczytowa</t>
  </si>
  <si>
    <r>
      <t xml:space="preserve">zmienna </t>
    </r>
    <r>
      <rPr>
        <sz val="8"/>
        <color indexed="10"/>
        <rFont val="Arial"/>
        <family val="2"/>
      </rPr>
      <t>_1</t>
    </r>
  </si>
  <si>
    <r>
      <t>zmienna_</t>
    </r>
    <r>
      <rPr>
        <sz val="8"/>
        <color indexed="10"/>
        <rFont val="Arial"/>
        <family val="2"/>
      </rPr>
      <t>2</t>
    </r>
  </si>
  <si>
    <r>
      <t>zmienna</t>
    </r>
    <r>
      <rPr>
        <sz val="8"/>
        <color indexed="10"/>
        <rFont val="Arial"/>
        <family val="2"/>
      </rPr>
      <t>_3</t>
    </r>
  </si>
  <si>
    <t>Warszawska 12</t>
  </si>
  <si>
    <t>G11</t>
  </si>
  <si>
    <t>MEC Sp. z o.o.  Szczecinek</t>
  </si>
  <si>
    <t xml:space="preserve">                                         Szacunk. zużycie en. elektr. 01.01.2014r. do 31.12.2015r.</t>
  </si>
  <si>
    <t>Załącznik Nr 3</t>
  </si>
  <si>
    <t>szczyt przedpoł.</t>
  </si>
  <si>
    <t xml:space="preserve"> Baza Armii Krajowej 81</t>
  </si>
  <si>
    <t>Kołownie i wymiennikownie</t>
  </si>
  <si>
    <t>Wymiennikownia Kopernika Osiedle</t>
  </si>
  <si>
    <t>Kotłownia BROWAROWA, UL. Cieślaka 6</t>
  </si>
  <si>
    <t>Kotłownia KR-2, ul. Sikorskiego</t>
  </si>
  <si>
    <t>Wymiennikownia Wodociągowa 17</t>
  </si>
  <si>
    <t>1.</t>
  </si>
  <si>
    <t>l.p.</t>
  </si>
  <si>
    <t>2.</t>
  </si>
  <si>
    <t>3.</t>
  </si>
  <si>
    <t>4.</t>
  </si>
  <si>
    <t>5.</t>
  </si>
  <si>
    <t>6.</t>
  </si>
  <si>
    <t>1)  I-190, II-190,III-170,IV-140,V-100,VI-70,VII-70,VIII-70, IX-100, X-140, XI-170,XII-190 kW</t>
  </si>
  <si>
    <t>2)  I-110, II-110,III-100,IV-90,V-60,VI-40,VII-40,VIII-40, IX-60, X-90, XI-100,XII-110 kW</t>
  </si>
  <si>
    <t>3)  I-80, II-80,III-70,IV-60,V-60,VI-39,VII-39,VIII-39, IX-60, X-70, XI-70,XII-80 kW</t>
  </si>
  <si>
    <t>Powst. Wlkp. 3A-D</t>
  </si>
  <si>
    <t>Kościuszki 55B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</si>
  <si>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</si>
  <si>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</si>
  <si>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</si>
  <si>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</si>
  <si>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</si>
  <si>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</si>
  <si>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</si>
  <si>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</si>
  <si>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</si>
  <si>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</si>
  <si>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</si>
  <si>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</si>
  <si>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</si>
  <si>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</si>
  <si>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</si>
  <si>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</si>
  <si>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</si>
  <si>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</si>
  <si>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</si>
  <si>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</si>
  <si>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</si>
  <si>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</si>
  <si>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</si>
  <si>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</si>
  <si>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</si>
  <si>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</si>
  <si>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</si>
  <si>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</si>
  <si>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</si>
  <si>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</si>
  <si>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</si>
  <si>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</si>
  <si>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</si>
  <si>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</si>
  <si>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</si>
  <si>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</si>
  <si>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</si>
  <si>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</si>
  <si>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</si>
  <si>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</si>
  <si>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</si>
  <si>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</si>
  <si>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</si>
  <si>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</si>
  <si>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</si>
  <si>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</si>
  <si>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</si>
  <si>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</si>
  <si>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</si>
  <si>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</si>
  <si>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</si>
  <si>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</si>
  <si>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</si>
  <si>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</si>
  <si>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</si>
  <si>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</si>
  <si>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</si>
  <si>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</si>
  <si>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</si>
  <si>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</si>
  <si>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</si>
  <si>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</si>
  <si>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</si>
  <si>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</si>
  <si>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</si>
  <si>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</si>
  <si>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</si>
  <si>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</si>
  <si>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</si>
  <si>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</si>
  <si>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</si>
  <si>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</si>
  <si>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</si>
  <si>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</si>
  <si>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</si>
  <si>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</si>
  <si>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</si>
  <si>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</si>
  <si>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</si>
  <si>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</si>
  <si>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</si>
  <si>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</si>
  <si>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</si>
  <si>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</si>
  <si>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</si>
  <si>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</si>
  <si>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</si>
  <si>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</si>
  <si>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</si>
  <si>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</si>
  <si>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PL 0037540107287859</t>
  </si>
  <si>
    <t>PL 0037540107301603</t>
  </si>
  <si>
    <t>PL 0037540107292913</t>
  </si>
  <si>
    <t>PL 0037540107333430</t>
  </si>
  <si>
    <t>PL 0037540107005145</t>
  </si>
  <si>
    <t>PL 0037540107003731</t>
  </si>
  <si>
    <t>PL 0037540107969586</t>
  </si>
  <si>
    <t>PL 0037540107005549</t>
  </si>
  <si>
    <t>PL 0037540107560267</t>
  </si>
  <si>
    <t>PL 0037540107005852</t>
  </si>
  <si>
    <t>PL 0037540107559863</t>
  </si>
  <si>
    <t>PL 0037540107765684</t>
  </si>
  <si>
    <t>PL 0037540000055369</t>
  </si>
  <si>
    <t>PL 0037540107003428</t>
  </si>
  <si>
    <t>PL 0037540107003327</t>
  </si>
  <si>
    <t>PL 0037540107003529</t>
  </si>
  <si>
    <t>PL 0037540000003334</t>
  </si>
  <si>
    <t>PL 0037540108411847</t>
  </si>
  <si>
    <t>PL 0037540107004741</t>
  </si>
  <si>
    <t>PL 0037540107096182</t>
  </si>
  <si>
    <t>PL 0037540107096283</t>
  </si>
  <si>
    <t>PL 0037540108486518</t>
  </si>
  <si>
    <t>PL 0037540108639795</t>
  </si>
  <si>
    <t>PL 0037540108271300</t>
  </si>
  <si>
    <t>PL 0037540108486619</t>
  </si>
  <si>
    <t>PL 0037540108525722</t>
  </si>
  <si>
    <t>PL 0037540107004034</t>
  </si>
  <si>
    <t>PL 0037540107339793</t>
  </si>
  <si>
    <t>PL 0037540107491559</t>
  </si>
  <si>
    <t>PL 0037540107969485</t>
  </si>
  <si>
    <t>PL 0037540107335551</t>
  </si>
  <si>
    <t>PL 0037540107121554</t>
  </si>
  <si>
    <t>PL 0037540107797313</t>
  </si>
  <si>
    <t>PL 0037540107797414</t>
  </si>
  <si>
    <t>PL 0037540107797515</t>
  </si>
  <si>
    <t>PL 0037540107797616</t>
  </si>
  <si>
    <t>PL 003754010779717</t>
  </si>
  <si>
    <t>PL 0037540107806912</t>
  </si>
  <si>
    <t>PL 0037540107585428</t>
  </si>
  <si>
    <t>PL 0037540104951068</t>
  </si>
  <si>
    <t>PL 0037540108137318</t>
  </si>
  <si>
    <t>PL 0037540107969283</t>
  </si>
  <si>
    <t>PL 0037540107969384</t>
  </si>
  <si>
    <t>PL 0037540107005751</t>
  </si>
  <si>
    <t>PL 0037540107969081</t>
  </si>
  <si>
    <t>PL 0037540107968980</t>
  </si>
  <si>
    <t>PL 0037540108113369</t>
  </si>
  <si>
    <t>PL 0037540107005448</t>
  </si>
  <si>
    <t>PL 037540107190960</t>
  </si>
  <si>
    <t>PL 0037540107969182</t>
  </si>
  <si>
    <t>PL 0037540108128729</t>
  </si>
  <si>
    <t>PL 0037540107004135</t>
  </si>
  <si>
    <t>PL 0037540107492771</t>
  </si>
  <si>
    <t>PL 0037540107181563</t>
  </si>
  <si>
    <t>PL 0037540107479940</t>
  </si>
  <si>
    <t>PL 0037540107817218</t>
  </si>
  <si>
    <t>PL 0037540107003933</t>
  </si>
  <si>
    <t>PL 0037540107004337</t>
  </si>
  <si>
    <t>PL 0037540107807013</t>
  </si>
  <si>
    <t>PL 0037540107003630</t>
  </si>
  <si>
    <t>PL 0037540108300295</t>
  </si>
  <si>
    <t>PL 0037540108478232</t>
  </si>
  <si>
    <t>PL 0037540108300396</t>
  </si>
  <si>
    <t>PL 0037540000011216</t>
  </si>
  <si>
    <t>PL 0037540107141459</t>
  </si>
  <si>
    <t>PL 0037540107470644</t>
  </si>
  <si>
    <t>PL 0037540107598461</t>
  </si>
  <si>
    <t>PL 0037540106891977</t>
  </si>
  <si>
    <t>PL 0037540107005953</t>
  </si>
  <si>
    <t>PL 0037540107242288</t>
  </si>
  <si>
    <t>PL 0037540108121655</t>
  </si>
  <si>
    <t>PL 0037540108142772</t>
  </si>
  <si>
    <t>PL 0037540108161768</t>
  </si>
  <si>
    <t>PL 0037540107452052</t>
  </si>
  <si>
    <t>PL 0037540107487620</t>
  </si>
  <si>
    <t>PL 0037540107006256</t>
  </si>
  <si>
    <t>PL 0037540107006357</t>
  </si>
  <si>
    <t>PL 0037540107006054</t>
  </si>
  <si>
    <t>PL 0037540107006155</t>
  </si>
  <si>
    <t>PL 0037540107765583</t>
  </si>
  <si>
    <t>PL 0037540107003832</t>
  </si>
  <si>
    <t>PL 0037540107457510</t>
  </si>
  <si>
    <t>PL 0037540107765482</t>
  </si>
  <si>
    <t>PL 0037540107765381</t>
  </si>
  <si>
    <t>PL 0037540107065971</t>
  </si>
  <si>
    <t>PL 0037540103995115</t>
  </si>
  <si>
    <t>PL 0037540108247755</t>
  </si>
  <si>
    <t>PL 0037540108294942</t>
  </si>
  <si>
    <t>PL 0037540000015256</t>
  </si>
  <si>
    <t>PL 0037540107005650</t>
  </si>
  <si>
    <t>PL 0037540107559964</t>
  </si>
  <si>
    <t>PL 0037540107560570</t>
  </si>
  <si>
    <t>PL 0037540107560368</t>
  </si>
  <si>
    <t>PL 0037540107469735</t>
  </si>
  <si>
    <t>PL 0037540107472361</t>
  </si>
  <si>
    <t>PL 0037540107560166</t>
  </si>
  <si>
    <t xml:space="preserve">                      MEC Spółka z o.o., ul. Armii Krajowej 81, 78-400 Szczecinek.</t>
  </si>
  <si>
    <t xml:space="preserve">                 Wykaz punktów poboru energii elektrycznej, będących własnością</t>
  </si>
  <si>
    <t xml:space="preserve">Nr PPE </t>
  </si>
  <si>
    <t>Wymiennikownie i Baza</t>
  </si>
  <si>
    <t>szczyt popołud.</t>
  </si>
  <si>
    <t>jednostrefowa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</si>
</sst>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</numFmts>
  <fonts count="2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7" fillId="0" borderId="10" xfId="42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43" fontId="0" fillId="0" borderId="0" xfId="42" applyFont="1" applyAlignment="1">
      <alignment/>
    </xf>
    <xf numFmtId="167" fontId="1" fillId="0" borderId="10" xfId="42" applyNumberFormat="1" applyFont="1" applyBorder="1" applyAlignment="1">
      <alignment horizontal="center"/>
    </xf>
    <xf numFmtId="167" fontId="1" fillId="0" borderId="10" xfId="42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0" fontId="6" fillId="20" borderId="13" xfId="0" applyFont="1" applyFill="1" applyBorder="1" applyAlignment="1">
      <alignment/>
    </xf>
    <xf numFmtId="167" fontId="6" fillId="20" borderId="13" xfId="42" applyNumberFormat="1" applyFont="1" applyFill="1" applyBorder="1" applyAlignment="1">
      <alignment horizontal="center"/>
    </xf>
    <xf numFmtId="167" fontId="6" fillId="20" borderId="13" xfId="42" applyNumberFormat="1" applyFont="1" applyFill="1" applyBorder="1" applyAlignment="1">
      <alignment horizontal="left"/>
    </xf>
    <xf numFmtId="167" fontId="6" fillId="20" borderId="14" xfId="42" applyNumberFormat="1" applyFont="1" applyFill="1" applyBorder="1" applyAlignment="1">
      <alignment horizontal="center"/>
    </xf>
    <xf numFmtId="167" fontId="6" fillId="20" borderId="15" xfId="42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49" fontId="7" fillId="0" borderId="12" xfId="42" applyNumberFormat="1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167" fontId="1" fillId="20" borderId="10" xfId="42" applyNumberFormat="1" applyFont="1" applyFill="1" applyBorder="1" applyAlignment="1">
      <alignment horizontal="center"/>
    </xf>
    <xf numFmtId="167" fontId="1" fillId="20" borderId="10" xfId="42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167" fontId="7" fillId="0" borderId="10" xfId="42" applyNumberFormat="1" applyFont="1" applyFill="1" applyBorder="1" applyAlignment="1">
      <alignment horizontal="center"/>
    </xf>
    <xf numFmtId="49" fontId="7" fillId="0" borderId="12" xfId="42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167" fontId="1" fillId="0" borderId="17" xfId="42" applyNumberFormat="1" applyFont="1" applyBorder="1" applyAlignment="1">
      <alignment horizontal="center"/>
    </xf>
    <xf numFmtId="49" fontId="7" fillId="0" borderId="18" xfId="42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 horizontal="left"/>
    </xf>
    <xf numFmtId="167" fontId="6" fillId="20" borderId="10" xfId="42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/>
    </xf>
    <xf numFmtId="43" fontId="1" fillId="0" borderId="10" xfId="42" applyFont="1" applyBorder="1" applyAlignment="1">
      <alignment horizontal="center"/>
    </xf>
    <xf numFmtId="43" fontId="1" fillId="0" borderId="17" xfId="42" applyFont="1" applyBorder="1" applyAlignment="1">
      <alignment horizontal="center"/>
    </xf>
    <xf numFmtId="43" fontId="7" fillId="0" borderId="10" xfId="42" applyNumberFormat="1" applyFont="1" applyFill="1" applyBorder="1" applyAlignment="1">
      <alignment horizontal="center"/>
    </xf>
    <xf numFmtId="43" fontId="6" fillId="20" borderId="10" xfId="0" applyNumberFormat="1" applyFont="1" applyFill="1" applyBorder="1" applyAlignment="1">
      <alignment horizontal="center"/>
    </xf>
    <xf numFmtId="167" fontId="6" fillId="20" borderId="10" xfId="0" applyNumberFormat="1" applyFont="1" applyFill="1" applyBorder="1" applyAlignment="1">
      <alignment horizontal="center"/>
    </xf>
    <xf numFmtId="43" fontId="6" fillId="20" borderId="13" xfId="42" applyFont="1" applyFill="1" applyBorder="1" applyAlignment="1">
      <alignment horizontal="center"/>
    </xf>
    <xf numFmtId="0" fontId="6" fillId="20" borderId="16" xfId="0" applyFont="1" applyFill="1" applyBorder="1" applyAlignment="1">
      <alignment horizontal="left"/>
    </xf>
    <xf numFmtId="0" fontId="6" fillId="20" borderId="16" xfId="0" applyFont="1" applyFill="1" applyBorder="1" applyAlignment="1">
      <alignment horizontal="right"/>
    </xf>
    <xf numFmtId="0" fontId="6" fillId="20" borderId="16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0" borderId="19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20" borderId="20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moje\e.elektr.2011_k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  <sheetName val="cały rok"/>
      <sheetName val="nr umów "/>
    </sheetNames>
    <sheetDataSet>
      <sheetData sheetId="11">
        <row r="33">
          <cell r="B33" t="str">
            <v>Szczecińska 20D-F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L105" sqref="L105"/>
    </sheetView>
  </sheetViews>
  <sheetFormatPr defaultColWidth="9.140625" defaultRowHeight="12.75"/>
  <cols>
    <col min="1" max="1" width="3.7109375" style="0" customWidth="1"/>
    <col min="2" max="2" width="31.421875" style="0" customWidth="1"/>
    <col min="3" max="3" width="8.7109375" style="14" customWidth="1"/>
    <col min="4" max="4" width="15.00390625" style="0" customWidth="1"/>
    <col min="5" max="5" width="13.140625" style="0" customWidth="1"/>
    <col min="6" max="6" width="16.00390625" style="0" customWidth="1"/>
    <col min="7" max="7" width="8.57421875" style="0" customWidth="1"/>
    <col min="8" max="8" width="25.421875" style="15" customWidth="1"/>
    <col min="9" max="9" width="15.140625" style="10" customWidth="1"/>
  </cols>
  <sheetData>
    <row r="1" ht="15">
      <c r="G1" s="2" t="s">
        <v>114</v>
      </c>
    </row>
    <row r="2" spans="2:6" ht="15">
      <c r="B2" s="2" t="s">
        <v>321</v>
      </c>
      <c r="C2" s="3"/>
      <c r="D2" s="2"/>
      <c r="E2" s="2"/>
      <c r="F2" s="4"/>
    </row>
    <row r="3" spans="1:7" ht="15">
      <c r="A3" s="2"/>
      <c r="B3" s="2" t="s">
        <v>320</v>
      </c>
      <c r="C3" s="3"/>
      <c r="D3" s="2"/>
      <c r="E3" s="2"/>
      <c r="G3" s="4"/>
    </row>
    <row r="4" ht="15" thickBot="1">
      <c r="B4" s="3"/>
    </row>
    <row r="5" spans="1:8" ht="12.75">
      <c r="A5" s="60" t="s">
        <v>123</v>
      </c>
      <c r="B5" s="56" t="s">
        <v>2</v>
      </c>
      <c r="C5" s="27" t="s">
        <v>0</v>
      </c>
      <c r="D5" s="57" t="s">
        <v>113</v>
      </c>
      <c r="E5" s="57"/>
      <c r="F5" s="57"/>
      <c r="G5" s="58" t="s">
        <v>3</v>
      </c>
      <c r="H5" s="62" t="s">
        <v>322</v>
      </c>
    </row>
    <row r="6" spans="1:11" ht="15">
      <c r="A6" s="61"/>
      <c r="B6" s="47" t="s">
        <v>112</v>
      </c>
      <c r="C6" s="17" t="s">
        <v>7</v>
      </c>
      <c r="D6" s="28" t="s">
        <v>115</v>
      </c>
      <c r="E6" s="28" t="s">
        <v>324</v>
      </c>
      <c r="F6" s="28" t="s">
        <v>12</v>
      </c>
      <c r="G6" s="59"/>
      <c r="H6" s="63"/>
      <c r="K6" s="1"/>
    </row>
    <row r="7" spans="1:8" ht="12.75">
      <c r="A7" s="6"/>
      <c r="B7" s="29"/>
      <c r="C7" s="8" t="s">
        <v>1</v>
      </c>
      <c r="D7" s="5" t="s">
        <v>4</v>
      </c>
      <c r="E7" s="5" t="s">
        <v>4</v>
      </c>
      <c r="F7" s="5" t="s">
        <v>4</v>
      </c>
      <c r="G7" s="5"/>
      <c r="H7" s="16"/>
    </row>
    <row r="8" spans="1:8" ht="12.75">
      <c r="A8" s="30"/>
      <c r="B8" s="31" t="s">
        <v>9</v>
      </c>
      <c r="C8" s="32"/>
      <c r="D8" s="33"/>
      <c r="E8" s="33"/>
      <c r="F8" s="33"/>
      <c r="G8" s="33"/>
      <c r="H8" s="34"/>
    </row>
    <row r="9" spans="1:8" ht="12.75">
      <c r="A9" s="6" t="s">
        <v>122</v>
      </c>
      <c r="B9" s="7" t="s">
        <v>10</v>
      </c>
      <c r="C9" s="8" t="s">
        <v>107</v>
      </c>
      <c r="D9" s="20">
        <f>81713*2</f>
        <v>163426</v>
      </c>
      <c r="E9" s="20">
        <f>62563*2</f>
        <v>125126</v>
      </c>
      <c r="F9" s="20">
        <f>332025*2</f>
        <v>664050</v>
      </c>
      <c r="G9" s="8" t="s">
        <v>11</v>
      </c>
      <c r="H9" s="35" t="s">
        <v>236</v>
      </c>
    </row>
    <row r="10" spans="2:9" s="12" customFormat="1" ht="13.5" thickBot="1">
      <c r="B10" s="22" t="s">
        <v>8</v>
      </c>
      <c r="C10" s="55">
        <v>135</v>
      </c>
      <c r="D10" s="23">
        <f>SUM(D9)</f>
        <v>163426</v>
      </c>
      <c r="E10" s="24">
        <f>SUM(E9)</f>
        <v>125126</v>
      </c>
      <c r="F10" s="23">
        <f>SUM(F9)</f>
        <v>664050</v>
      </c>
      <c r="G10" s="25"/>
      <c r="H10" s="26"/>
      <c r="I10" s="10"/>
    </row>
    <row r="11" spans="1:8" ht="12.75">
      <c r="A11" s="36"/>
      <c r="B11" s="49" t="s">
        <v>117</v>
      </c>
      <c r="C11" s="17"/>
      <c r="D11" s="48" t="s">
        <v>13</v>
      </c>
      <c r="E11" s="48" t="s">
        <v>14</v>
      </c>
      <c r="F11" s="38"/>
      <c r="G11" s="39"/>
      <c r="H11" s="40"/>
    </row>
    <row r="12" spans="1:8" ht="13.5" customHeight="1">
      <c r="A12" s="6" t="s">
        <v>124</v>
      </c>
      <c r="B12" s="7" t="s">
        <v>119</v>
      </c>
      <c r="C12" s="8" t="s">
        <v>108</v>
      </c>
      <c r="D12" s="20">
        <f>209497*2</f>
        <v>418994</v>
      </c>
      <c r="E12" s="20">
        <f>142776*2</f>
        <v>285552</v>
      </c>
      <c r="F12" s="20"/>
      <c r="G12" s="8" t="s">
        <v>29</v>
      </c>
      <c r="H12" s="35" t="s">
        <v>224</v>
      </c>
    </row>
    <row r="13" spans="1:9" s="12" customFormat="1" ht="12.75">
      <c r="A13" s="6" t="s">
        <v>125</v>
      </c>
      <c r="B13" s="7" t="s">
        <v>120</v>
      </c>
      <c r="C13" s="8" t="s">
        <v>109</v>
      </c>
      <c r="D13" s="20">
        <f>134042*2</f>
        <v>268084</v>
      </c>
      <c r="E13" s="20">
        <f>89234*2</f>
        <v>178468</v>
      </c>
      <c r="F13" s="20"/>
      <c r="G13" s="8" t="s">
        <v>29</v>
      </c>
      <c r="H13" s="35" t="s">
        <v>225</v>
      </c>
      <c r="I13" s="11"/>
    </row>
    <row r="14" spans="1:8" ht="12.75">
      <c r="A14" s="6" t="s">
        <v>126</v>
      </c>
      <c r="B14" s="13" t="s">
        <v>118</v>
      </c>
      <c r="C14" s="13">
        <v>13</v>
      </c>
      <c r="D14" s="19">
        <f>13464*2</f>
        <v>26928</v>
      </c>
      <c r="E14" s="19">
        <f>8092*2</f>
        <v>16184</v>
      </c>
      <c r="F14" s="19"/>
      <c r="G14" s="8" t="s">
        <v>29</v>
      </c>
      <c r="H14" s="42" t="s">
        <v>226</v>
      </c>
    </row>
    <row r="15" spans="1:8" ht="12.75">
      <c r="A15" s="6" t="s">
        <v>127</v>
      </c>
      <c r="B15" s="7" t="s">
        <v>121</v>
      </c>
      <c r="C15" s="13">
        <v>13</v>
      </c>
      <c r="D15" s="41">
        <f>1459*2</f>
        <v>2918</v>
      </c>
      <c r="E15" s="41">
        <f>911*2</f>
        <v>1822</v>
      </c>
      <c r="F15" s="20"/>
      <c r="G15" s="8" t="s">
        <v>29</v>
      </c>
      <c r="H15" s="35" t="s">
        <v>227</v>
      </c>
    </row>
    <row r="16" spans="1:8" ht="13.5" thickBot="1">
      <c r="A16" s="12"/>
      <c r="B16" s="22" t="s">
        <v>8</v>
      </c>
      <c r="C16" s="55">
        <v>167</v>
      </c>
      <c r="D16" s="23">
        <f>SUM(D12:D15)</f>
        <v>716924</v>
      </c>
      <c r="E16" s="24">
        <f>SUM(E12:E15)</f>
        <v>482026</v>
      </c>
      <c r="F16" s="23">
        <f>SUM(F15)</f>
        <v>0</v>
      </c>
      <c r="G16" s="25"/>
      <c r="H16" s="26"/>
    </row>
    <row r="17" spans="1:8" ht="12.75">
      <c r="A17" s="36"/>
      <c r="B17" s="47" t="s">
        <v>15</v>
      </c>
      <c r="C17" s="17"/>
      <c r="D17" s="48" t="s">
        <v>30</v>
      </c>
      <c r="E17" s="48" t="s">
        <v>106</v>
      </c>
      <c r="F17" s="48" t="s">
        <v>325</v>
      </c>
      <c r="G17" s="39"/>
      <c r="H17" s="40"/>
    </row>
    <row r="18" spans="1:8" ht="12.75">
      <c r="A18" s="6" t="s">
        <v>128</v>
      </c>
      <c r="B18" s="7" t="s">
        <v>16</v>
      </c>
      <c r="C18" s="13">
        <v>5.4</v>
      </c>
      <c r="D18" s="20"/>
      <c r="E18" s="20"/>
      <c r="F18" s="20">
        <f>251*2</f>
        <v>502</v>
      </c>
      <c r="G18" s="8" t="s">
        <v>5</v>
      </c>
      <c r="H18" s="35" t="s">
        <v>228</v>
      </c>
    </row>
    <row r="19" spans="1:8" ht="12.75">
      <c r="A19" s="6" t="s">
        <v>134</v>
      </c>
      <c r="B19" s="7" t="s">
        <v>18</v>
      </c>
      <c r="C19" s="13">
        <v>5</v>
      </c>
      <c r="D19" s="41">
        <f>688*2</f>
        <v>1376</v>
      </c>
      <c r="E19" s="41">
        <f>1577*2</f>
        <v>3154</v>
      </c>
      <c r="F19" s="20"/>
      <c r="G19" s="8" t="s">
        <v>28</v>
      </c>
      <c r="H19" s="35" t="s">
        <v>229</v>
      </c>
    </row>
    <row r="20" spans="1:8" ht="12.75">
      <c r="A20" s="6" t="s">
        <v>135</v>
      </c>
      <c r="B20" s="7" t="s">
        <v>19</v>
      </c>
      <c r="C20" s="13">
        <v>18</v>
      </c>
      <c r="D20" s="41">
        <f>5853*2</f>
        <v>11706</v>
      </c>
      <c r="E20" s="41">
        <f>17954*2</f>
        <v>35908</v>
      </c>
      <c r="F20" s="20"/>
      <c r="G20" s="8" t="s">
        <v>28</v>
      </c>
      <c r="H20" s="35" t="s">
        <v>230</v>
      </c>
    </row>
    <row r="21" spans="1:8" ht="12.75">
      <c r="A21" s="6" t="s">
        <v>136</v>
      </c>
      <c r="B21" s="7" t="s">
        <v>20</v>
      </c>
      <c r="C21" s="13">
        <v>2</v>
      </c>
      <c r="D21" s="41">
        <f>143*2</f>
        <v>286</v>
      </c>
      <c r="E21" s="41">
        <f>401*2</f>
        <v>802</v>
      </c>
      <c r="F21" s="20"/>
      <c r="G21" s="8" t="s">
        <v>28</v>
      </c>
      <c r="H21" s="35" t="s">
        <v>231</v>
      </c>
    </row>
    <row r="22" spans="1:8" ht="12.75">
      <c r="A22" s="6" t="s">
        <v>137</v>
      </c>
      <c r="B22" s="7" t="s">
        <v>21</v>
      </c>
      <c r="C22" s="13">
        <v>26</v>
      </c>
      <c r="D22" s="41">
        <f>6280*2</f>
        <v>12560</v>
      </c>
      <c r="E22" s="41">
        <f>22070*2</f>
        <v>44140</v>
      </c>
      <c r="F22" s="20"/>
      <c r="G22" s="8" t="s">
        <v>28</v>
      </c>
      <c r="H22" s="35" t="s">
        <v>232</v>
      </c>
    </row>
    <row r="23" spans="1:8" ht="12.75">
      <c r="A23" s="6" t="s">
        <v>138</v>
      </c>
      <c r="B23" s="7" t="s">
        <v>22</v>
      </c>
      <c r="C23" s="13">
        <v>2</v>
      </c>
      <c r="D23" s="41">
        <f>9*2</f>
        <v>18</v>
      </c>
      <c r="E23" s="41">
        <f>36*2</f>
        <v>72</v>
      </c>
      <c r="F23" s="20"/>
      <c r="G23" s="8" t="s">
        <v>28</v>
      </c>
      <c r="H23" s="35" t="s">
        <v>233</v>
      </c>
    </row>
    <row r="24" spans="1:9" s="12" customFormat="1" ht="12.75">
      <c r="A24" s="6" t="s">
        <v>139</v>
      </c>
      <c r="B24" s="7" t="s">
        <v>23</v>
      </c>
      <c r="C24" s="13">
        <v>24</v>
      </c>
      <c r="D24" s="41">
        <f>1593*2</f>
        <v>3186</v>
      </c>
      <c r="E24" s="41">
        <f>5252*2</f>
        <v>10504</v>
      </c>
      <c r="F24" s="20"/>
      <c r="G24" s="8" t="s">
        <v>28</v>
      </c>
      <c r="H24" s="35" t="s">
        <v>234</v>
      </c>
      <c r="I24" s="11"/>
    </row>
    <row r="25" spans="1:8" ht="12.75">
      <c r="A25" s="6" t="s">
        <v>140</v>
      </c>
      <c r="B25" s="7" t="s">
        <v>24</v>
      </c>
      <c r="C25" s="13">
        <v>8</v>
      </c>
      <c r="D25" s="41">
        <f>2822*2</f>
        <v>5644</v>
      </c>
      <c r="E25" s="41">
        <f>6168*2</f>
        <v>12336</v>
      </c>
      <c r="F25" s="20"/>
      <c r="G25" s="8" t="s">
        <v>28</v>
      </c>
      <c r="H25" s="35" t="s">
        <v>235</v>
      </c>
    </row>
    <row r="26" spans="1:8" ht="12.75">
      <c r="A26" s="6" t="s">
        <v>141</v>
      </c>
      <c r="B26" s="7" t="s">
        <v>25</v>
      </c>
      <c r="C26" s="13">
        <v>6</v>
      </c>
      <c r="D26" s="41">
        <f>1044*2</f>
        <v>2088</v>
      </c>
      <c r="E26" s="41">
        <f>2584*2</f>
        <v>5168</v>
      </c>
      <c r="F26" s="20"/>
      <c r="G26" s="8" t="s">
        <v>28</v>
      </c>
      <c r="H26" s="35" t="s">
        <v>237</v>
      </c>
    </row>
    <row r="27" spans="1:9" s="12" customFormat="1" ht="12.75">
      <c r="A27" s="6" t="s">
        <v>142</v>
      </c>
      <c r="B27" s="7" t="s">
        <v>26</v>
      </c>
      <c r="C27" s="13">
        <v>2</v>
      </c>
      <c r="D27" s="41">
        <f>3*2</f>
        <v>6</v>
      </c>
      <c r="E27" s="41">
        <f>12*2</f>
        <v>24</v>
      </c>
      <c r="F27" s="20"/>
      <c r="G27" s="8" t="s">
        <v>28</v>
      </c>
      <c r="H27" s="35" t="s">
        <v>238</v>
      </c>
      <c r="I27" s="11"/>
    </row>
    <row r="28" spans="1:8" ht="12.75">
      <c r="A28" s="36"/>
      <c r="B28" s="47" t="s">
        <v>31</v>
      </c>
      <c r="C28" s="53"/>
      <c r="D28" s="54"/>
      <c r="E28" s="54"/>
      <c r="F28" s="54"/>
      <c r="G28" s="39"/>
      <c r="H28" s="40"/>
    </row>
    <row r="29" spans="1:8" ht="12.75">
      <c r="A29" s="6" t="s">
        <v>143</v>
      </c>
      <c r="B29" s="13" t="s">
        <v>32</v>
      </c>
      <c r="C29" s="13">
        <v>2</v>
      </c>
      <c r="D29" s="19"/>
      <c r="E29" s="19"/>
      <c r="F29" s="19">
        <f>611*2</f>
        <v>1222</v>
      </c>
      <c r="G29" s="8" t="s">
        <v>5</v>
      </c>
      <c r="H29" s="35" t="s">
        <v>239</v>
      </c>
    </row>
    <row r="30" spans="1:8" ht="12.75">
      <c r="A30" s="6" t="s">
        <v>144</v>
      </c>
      <c r="B30" s="7" t="str">
        <f>+'[1]grudzień'!B33</f>
        <v>Szczecińska 20D-F</v>
      </c>
      <c r="C30" s="13">
        <v>1</v>
      </c>
      <c r="D30" s="41"/>
      <c r="E30" s="41"/>
      <c r="F30" s="19">
        <f>300*2</f>
        <v>600</v>
      </c>
      <c r="G30" s="8" t="s">
        <v>5</v>
      </c>
      <c r="H30" s="35" t="s">
        <v>240</v>
      </c>
    </row>
    <row r="31" spans="1:8" ht="12.75">
      <c r="A31" s="6" t="s">
        <v>145</v>
      </c>
      <c r="B31" s="7" t="s">
        <v>33</v>
      </c>
      <c r="C31" s="13">
        <v>5</v>
      </c>
      <c r="D31" s="41"/>
      <c r="E31" s="41"/>
      <c r="F31" s="19">
        <f>70*2</f>
        <v>140</v>
      </c>
      <c r="G31" s="8" t="s">
        <v>5</v>
      </c>
      <c r="H31" s="35" t="s">
        <v>241</v>
      </c>
    </row>
    <row r="32" spans="1:8" ht="12.75">
      <c r="A32" s="6" t="s">
        <v>146</v>
      </c>
      <c r="B32" s="7" t="s">
        <v>34</v>
      </c>
      <c r="C32" s="13">
        <v>14</v>
      </c>
      <c r="D32" s="41"/>
      <c r="E32" s="41"/>
      <c r="F32" s="19">
        <f>370*2</f>
        <v>740</v>
      </c>
      <c r="G32" s="8" t="s">
        <v>5</v>
      </c>
      <c r="H32" s="35" t="s">
        <v>242</v>
      </c>
    </row>
    <row r="33" spans="1:8" ht="12.75">
      <c r="A33" s="6" t="s">
        <v>147</v>
      </c>
      <c r="B33" s="7" t="s">
        <v>35</v>
      </c>
      <c r="C33" s="13">
        <v>1</v>
      </c>
      <c r="D33" s="41"/>
      <c r="E33" s="41"/>
      <c r="F33" s="19">
        <f>1555*2</f>
        <v>3110</v>
      </c>
      <c r="G33" s="8" t="s">
        <v>5</v>
      </c>
      <c r="H33" s="35" t="s">
        <v>243</v>
      </c>
    </row>
    <row r="34" spans="1:8" ht="12.75">
      <c r="A34" s="6" t="s">
        <v>148</v>
      </c>
      <c r="B34" s="7" t="s">
        <v>36</v>
      </c>
      <c r="C34" s="13">
        <v>1</v>
      </c>
      <c r="D34" s="41"/>
      <c r="E34" s="41"/>
      <c r="F34" s="19">
        <f>1268*2</f>
        <v>2536</v>
      </c>
      <c r="G34" s="8" t="s">
        <v>5</v>
      </c>
      <c r="H34" s="35" t="s">
        <v>244</v>
      </c>
    </row>
    <row r="35" spans="1:8" ht="12.75">
      <c r="A35" s="6" t="s">
        <v>149</v>
      </c>
      <c r="B35" s="7" t="s">
        <v>105</v>
      </c>
      <c r="C35" s="13">
        <v>1</v>
      </c>
      <c r="D35" s="41"/>
      <c r="E35" s="41"/>
      <c r="F35" s="19">
        <f>340*2</f>
        <v>680</v>
      </c>
      <c r="G35" s="8" t="s">
        <v>5</v>
      </c>
      <c r="H35" s="35" t="s">
        <v>245</v>
      </c>
    </row>
    <row r="36" spans="1:8" ht="12.75">
      <c r="A36" s="6" t="s">
        <v>150</v>
      </c>
      <c r="B36" s="7" t="s">
        <v>132</v>
      </c>
      <c r="C36" s="13">
        <v>1</v>
      </c>
      <c r="D36" s="41"/>
      <c r="E36" s="41"/>
      <c r="F36" s="19">
        <f>48*2</f>
        <v>96</v>
      </c>
      <c r="G36" s="8" t="s">
        <v>5</v>
      </c>
      <c r="H36" s="35" t="s">
        <v>246</v>
      </c>
    </row>
    <row r="37" spans="1:8" ht="12.75">
      <c r="A37" s="6" t="s">
        <v>151</v>
      </c>
      <c r="B37" s="7" t="s">
        <v>37</v>
      </c>
      <c r="C37" s="13">
        <v>22</v>
      </c>
      <c r="D37" s="41"/>
      <c r="E37" s="41"/>
      <c r="F37" s="19">
        <f>659*2</f>
        <v>1318</v>
      </c>
      <c r="G37" s="8" t="s">
        <v>5</v>
      </c>
      <c r="H37" s="35" t="s">
        <v>247</v>
      </c>
    </row>
    <row r="38" spans="1:8" ht="12.75">
      <c r="A38" s="6" t="s">
        <v>152</v>
      </c>
      <c r="B38" s="7" t="s">
        <v>38</v>
      </c>
      <c r="C38" s="13">
        <v>1</v>
      </c>
      <c r="D38" s="41"/>
      <c r="E38" s="41"/>
      <c r="F38" s="19">
        <f>129*2</f>
        <v>258</v>
      </c>
      <c r="G38" s="8" t="s">
        <v>5</v>
      </c>
      <c r="H38" s="35" t="s">
        <v>248</v>
      </c>
    </row>
    <row r="39" spans="1:11" ht="15">
      <c r="A39" s="6" t="s">
        <v>153</v>
      </c>
      <c r="B39" s="7" t="s">
        <v>133</v>
      </c>
      <c r="C39" s="13">
        <v>1</v>
      </c>
      <c r="D39" s="41"/>
      <c r="E39" s="41"/>
      <c r="F39" s="19">
        <f>1512*2</f>
        <v>3024</v>
      </c>
      <c r="G39" s="8" t="s">
        <v>5</v>
      </c>
      <c r="H39" s="35" t="s">
        <v>249</v>
      </c>
      <c r="K39" s="1"/>
    </row>
    <row r="40" spans="1:8" ht="12.75">
      <c r="A40" s="6" t="s">
        <v>154</v>
      </c>
      <c r="B40" s="7" t="s">
        <v>17</v>
      </c>
      <c r="C40" s="13">
        <v>1</v>
      </c>
      <c r="D40" s="19"/>
      <c r="E40" s="19"/>
      <c r="F40" s="19">
        <f>607*2</f>
        <v>1214</v>
      </c>
      <c r="G40" s="8" t="s">
        <v>5</v>
      </c>
      <c r="H40" s="35" t="s">
        <v>250</v>
      </c>
    </row>
    <row r="41" spans="1:8" ht="12.75">
      <c r="A41" s="6" t="s">
        <v>155</v>
      </c>
      <c r="B41" s="13" t="s">
        <v>39</v>
      </c>
      <c r="C41" s="13">
        <v>8</v>
      </c>
      <c r="D41" s="19">
        <f>2294*2</f>
        <v>4588</v>
      </c>
      <c r="E41" s="19">
        <f>6262*2</f>
        <v>12524</v>
      </c>
      <c r="F41" s="19"/>
      <c r="G41" s="8" t="s">
        <v>28</v>
      </c>
      <c r="H41" s="35" t="s">
        <v>251</v>
      </c>
    </row>
    <row r="42" spans="1:8" ht="12.75">
      <c r="A42" s="6" t="s">
        <v>156</v>
      </c>
      <c r="B42" s="13" t="s">
        <v>40</v>
      </c>
      <c r="C42" s="13">
        <v>1</v>
      </c>
      <c r="D42" s="19">
        <f>315*2</f>
        <v>630</v>
      </c>
      <c r="E42" s="19">
        <f>893*2</f>
        <v>1786</v>
      </c>
      <c r="F42" s="19"/>
      <c r="G42" s="8" t="s">
        <v>28</v>
      </c>
      <c r="H42" s="35" t="s">
        <v>252</v>
      </c>
    </row>
    <row r="43" spans="1:8" ht="12.75">
      <c r="A43" s="6" t="s">
        <v>157</v>
      </c>
      <c r="B43" s="13" t="s">
        <v>41</v>
      </c>
      <c r="C43" s="13">
        <v>9.6</v>
      </c>
      <c r="D43" s="19">
        <f>337*2</f>
        <v>674</v>
      </c>
      <c r="E43" s="19">
        <f>963*2</f>
        <v>1926</v>
      </c>
      <c r="F43" s="19"/>
      <c r="G43" s="8" t="s">
        <v>28</v>
      </c>
      <c r="H43" s="35" t="s">
        <v>253</v>
      </c>
    </row>
    <row r="44" spans="1:8" ht="12.75">
      <c r="A44" s="6" t="s">
        <v>158</v>
      </c>
      <c r="B44" s="13" t="s">
        <v>42</v>
      </c>
      <c r="C44" s="13">
        <v>1</v>
      </c>
      <c r="D44" s="19">
        <f>68*2</f>
        <v>136</v>
      </c>
      <c r="E44" s="19">
        <f>229*2</f>
        <v>458</v>
      </c>
      <c r="F44" s="19"/>
      <c r="G44" s="8" t="s">
        <v>28</v>
      </c>
      <c r="H44" s="35" t="s">
        <v>254</v>
      </c>
    </row>
    <row r="45" spans="1:8" ht="12.75">
      <c r="A45" s="6" t="s">
        <v>159</v>
      </c>
      <c r="B45" s="13" t="s">
        <v>43</v>
      </c>
      <c r="C45" s="13">
        <v>1</v>
      </c>
      <c r="D45" s="19">
        <f>174*2</f>
        <v>348</v>
      </c>
      <c r="E45" s="19">
        <f>478*2</f>
        <v>956</v>
      </c>
      <c r="F45" s="19"/>
      <c r="G45" s="8" t="s">
        <v>28</v>
      </c>
      <c r="H45" s="35" t="s">
        <v>255</v>
      </c>
    </row>
    <row r="46" spans="1:8" ht="12.75">
      <c r="A46" s="6" t="s">
        <v>160</v>
      </c>
      <c r="B46" s="13" t="s">
        <v>44</v>
      </c>
      <c r="C46" s="13">
        <v>1</v>
      </c>
      <c r="D46" s="19">
        <f>644*2</f>
        <v>1288</v>
      </c>
      <c r="E46" s="19">
        <f>1595*2</f>
        <v>3190</v>
      </c>
      <c r="F46" s="19"/>
      <c r="G46" s="8" t="s">
        <v>28</v>
      </c>
      <c r="H46" s="9" t="s">
        <v>256</v>
      </c>
    </row>
    <row r="47" spans="1:8" ht="12.75">
      <c r="A47" s="6" t="s">
        <v>161</v>
      </c>
      <c r="B47" s="13" t="s">
        <v>45</v>
      </c>
      <c r="C47" s="13">
        <v>1</v>
      </c>
      <c r="D47" s="19">
        <f>327*2</f>
        <v>654</v>
      </c>
      <c r="E47" s="19">
        <f>859*2</f>
        <v>1718</v>
      </c>
      <c r="F47" s="19"/>
      <c r="G47" s="8" t="s">
        <v>28</v>
      </c>
      <c r="H47" s="9" t="s">
        <v>257</v>
      </c>
    </row>
    <row r="48" spans="1:8" ht="12.75">
      <c r="A48" s="6" t="s">
        <v>162</v>
      </c>
      <c r="B48" s="13" t="s">
        <v>46</v>
      </c>
      <c r="C48" s="13">
        <v>1</v>
      </c>
      <c r="D48" s="19">
        <f>463*2</f>
        <v>926</v>
      </c>
      <c r="E48" s="19">
        <f>1228*2</f>
        <v>2456</v>
      </c>
      <c r="F48" s="19"/>
      <c r="G48" s="8" t="s">
        <v>28</v>
      </c>
      <c r="H48" s="9" t="s">
        <v>258</v>
      </c>
    </row>
    <row r="49" spans="1:8" ht="12.75">
      <c r="A49" s="6" t="s">
        <v>163</v>
      </c>
      <c r="B49" s="13" t="s">
        <v>47</v>
      </c>
      <c r="C49" s="13">
        <v>1</v>
      </c>
      <c r="D49" s="19">
        <f>294*2</f>
        <v>588</v>
      </c>
      <c r="E49" s="19">
        <f>802*2</f>
        <v>1604</v>
      </c>
      <c r="F49" s="19"/>
      <c r="G49" s="8" t="s">
        <v>28</v>
      </c>
      <c r="H49" s="9" t="s">
        <v>259</v>
      </c>
    </row>
    <row r="50" spans="1:8" ht="12.75">
      <c r="A50" s="6" t="s">
        <v>164</v>
      </c>
      <c r="B50" s="13" t="s">
        <v>48</v>
      </c>
      <c r="C50" s="13">
        <v>1</v>
      </c>
      <c r="D50" s="19">
        <f>205*2</f>
        <v>410</v>
      </c>
      <c r="E50" s="19">
        <f>558*2</f>
        <v>1116</v>
      </c>
      <c r="F50" s="19"/>
      <c r="G50" s="8" t="s">
        <v>28</v>
      </c>
      <c r="H50" s="9" t="s">
        <v>260</v>
      </c>
    </row>
    <row r="51" spans="1:8" ht="12.75">
      <c r="A51" s="6" t="s">
        <v>165</v>
      </c>
      <c r="B51" s="13" t="s">
        <v>49</v>
      </c>
      <c r="C51" s="13">
        <v>1</v>
      </c>
      <c r="D51" s="19">
        <f>709*2</f>
        <v>1418</v>
      </c>
      <c r="E51" s="19">
        <f>2041*2</f>
        <v>4082</v>
      </c>
      <c r="F51" s="19"/>
      <c r="G51" s="8" t="s">
        <v>28</v>
      </c>
      <c r="H51" s="9" t="s">
        <v>261</v>
      </c>
    </row>
    <row r="52" spans="1:8" ht="12.75">
      <c r="A52" s="6" t="s">
        <v>166</v>
      </c>
      <c r="B52" s="13" t="s">
        <v>50</v>
      </c>
      <c r="C52" s="13">
        <v>9</v>
      </c>
      <c r="D52" s="19">
        <f>4850*2</f>
        <v>9700</v>
      </c>
      <c r="E52" s="19">
        <f>13305*2</f>
        <v>26610</v>
      </c>
      <c r="F52" s="19"/>
      <c r="G52" s="8" t="s">
        <v>28</v>
      </c>
      <c r="H52" s="9" t="s">
        <v>262</v>
      </c>
    </row>
    <row r="53" spans="1:8" ht="12.75">
      <c r="A53" s="6" t="s">
        <v>167</v>
      </c>
      <c r="B53" s="13" t="s">
        <v>51</v>
      </c>
      <c r="C53" s="13">
        <v>1.5</v>
      </c>
      <c r="D53" s="19">
        <f>594*2</f>
        <v>1188</v>
      </c>
      <c r="E53" s="19">
        <f>1589*2</f>
        <v>3178</v>
      </c>
      <c r="F53" s="19"/>
      <c r="G53" s="8" t="s">
        <v>28</v>
      </c>
      <c r="H53" s="9" t="s">
        <v>263</v>
      </c>
    </row>
    <row r="54" spans="1:8" ht="12.75">
      <c r="A54" s="6" t="s">
        <v>168</v>
      </c>
      <c r="B54" s="13" t="s">
        <v>52</v>
      </c>
      <c r="C54" s="13">
        <v>1</v>
      </c>
      <c r="D54" s="19">
        <f>73*2</f>
        <v>146</v>
      </c>
      <c r="E54" s="19">
        <f>188*2</f>
        <v>376</v>
      </c>
      <c r="F54" s="19"/>
      <c r="G54" s="8" t="s">
        <v>28</v>
      </c>
      <c r="H54" s="9" t="s">
        <v>264</v>
      </c>
    </row>
    <row r="55" spans="1:8" ht="12.75">
      <c r="A55" s="6" t="s">
        <v>169</v>
      </c>
      <c r="B55" s="13" t="s">
        <v>53</v>
      </c>
      <c r="C55" s="13">
        <v>7</v>
      </c>
      <c r="D55" s="19">
        <f>463*2</f>
        <v>926</v>
      </c>
      <c r="E55" s="19">
        <f>1308*2</f>
        <v>2616</v>
      </c>
      <c r="F55" s="19"/>
      <c r="G55" s="8" t="s">
        <v>28</v>
      </c>
      <c r="H55" s="9" t="s">
        <v>265</v>
      </c>
    </row>
    <row r="56" spans="1:8" ht="12.75">
      <c r="A56" s="6" t="s">
        <v>170</v>
      </c>
      <c r="B56" s="13" t="s">
        <v>54</v>
      </c>
      <c r="C56" s="13">
        <v>7</v>
      </c>
      <c r="D56" s="19">
        <f>660*2</f>
        <v>1320</v>
      </c>
      <c r="E56" s="19">
        <f>1865*2</f>
        <v>3730</v>
      </c>
      <c r="F56" s="19"/>
      <c r="G56" s="8" t="s">
        <v>28</v>
      </c>
      <c r="H56" s="9" t="s">
        <v>266</v>
      </c>
    </row>
    <row r="57" spans="1:8" ht="12.75">
      <c r="A57" s="6" t="s">
        <v>171</v>
      </c>
      <c r="B57" s="13" t="s">
        <v>55</v>
      </c>
      <c r="C57" s="13">
        <v>10</v>
      </c>
      <c r="D57" s="19">
        <f>1259*2</f>
        <v>2518</v>
      </c>
      <c r="E57" s="19">
        <f>3252*2</f>
        <v>6504</v>
      </c>
      <c r="F57" s="19"/>
      <c r="G57" s="8" t="s">
        <v>28</v>
      </c>
      <c r="H57" s="9" t="s">
        <v>267</v>
      </c>
    </row>
    <row r="58" spans="1:8" ht="12.75">
      <c r="A58" s="6" t="s">
        <v>172</v>
      </c>
      <c r="B58" s="13" t="s">
        <v>56</v>
      </c>
      <c r="C58" s="13">
        <v>9.6</v>
      </c>
      <c r="D58" s="19">
        <f>692*2</f>
        <v>1384</v>
      </c>
      <c r="E58" s="19">
        <f>1817*2</f>
        <v>3634</v>
      </c>
      <c r="F58" s="19"/>
      <c r="G58" s="8" t="s">
        <v>28</v>
      </c>
      <c r="H58" s="9" t="s">
        <v>268</v>
      </c>
    </row>
    <row r="59" spans="1:8" ht="12.75">
      <c r="A59" s="6" t="s">
        <v>173</v>
      </c>
      <c r="B59" s="13" t="s">
        <v>57</v>
      </c>
      <c r="C59" s="13">
        <v>5</v>
      </c>
      <c r="D59" s="19">
        <f>1792*2</f>
        <v>3584</v>
      </c>
      <c r="E59" s="19">
        <f>4755*2</f>
        <v>9510</v>
      </c>
      <c r="F59" s="19"/>
      <c r="G59" s="8" t="s">
        <v>28</v>
      </c>
      <c r="H59" s="9" t="s">
        <v>269</v>
      </c>
    </row>
    <row r="60" spans="1:8" ht="12.75">
      <c r="A60" s="6" t="s">
        <v>174</v>
      </c>
      <c r="B60" s="13" t="s">
        <v>58</v>
      </c>
      <c r="C60" s="13">
        <v>20</v>
      </c>
      <c r="D60" s="19">
        <f>1524*2</f>
        <v>3048</v>
      </c>
      <c r="E60" s="19">
        <f>3329*2</f>
        <v>6658</v>
      </c>
      <c r="F60" s="19"/>
      <c r="G60" s="8" t="s">
        <v>28</v>
      </c>
      <c r="H60" s="9" t="s">
        <v>270</v>
      </c>
    </row>
    <row r="61" spans="1:8" ht="12.75">
      <c r="A61" s="6" t="s">
        <v>175</v>
      </c>
      <c r="B61" s="13" t="s">
        <v>59</v>
      </c>
      <c r="C61" s="13">
        <v>4</v>
      </c>
      <c r="D61" s="19">
        <f>914*2</f>
        <v>1828</v>
      </c>
      <c r="E61" s="19">
        <f>2390*2</f>
        <v>4780</v>
      </c>
      <c r="F61" s="19"/>
      <c r="G61" s="8" t="s">
        <v>28</v>
      </c>
      <c r="H61" s="9" t="s">
        <v>271</v>
      </c>
    </row>
    <row r="62" spans="1:8" ht="12.75">
      <c r="A62" s="6" t="s">
        <v>176</v>
      </c>
      <c r="B62" s="13" t="s">
        <v>60</v>
      </c>
      <c r="C62" s="13">
        <v>2</v>
      </c>
      <c r="D62" s="19">
        <f>202*2</f>
        <v>404</v>
      </c>
      <c r="E62" s="19">
        <f>517*2</f>
        <v>1034</v>
      </c>
      <c r="F62" s="19"/>
      <c r="G62" s="8" t="s">
        <v>28</v>
      </c>
      <c r="H62" s="9" t="s">
        <v>272</v>
      </c>
    </row>
    <row r="63" spans="1:8" ht="12.75">
      <c r="A63" s="6" t="s">
        <v>177</v>
      </c>
      <c r="B63" s="13" t="s">
        <v>61</v>
      </c>
      <c r="C63" s="13">
        <v>13.9</v>
      </c>
      <c r="D63" s="19">
        <f>2982*2</f>
        <v>5964</v>
      </c>
      <c r="E63" s="19">
        <f>8609*2</f>
        <v>17218</v>
      </c>
      <c r="F63" s="19"/>
      <c r="G63" s="8" t="s">
        <v>28</v>
      </c>
      <c r="H63" s="9" t="s">
        <v>273</v>
      </c>
    </row>
    <row r="64" spans="1:8" ht="12.75">
      <c r="A64" s="6" t="s">
        <v>178</v>
      </c>
      <c r="B64" s="13" t="s">
        <v>62</v>
      </c>
      <c r="C64" s="13">
        <v>1</v>
      </c>
      <c r="D64" s="19">
        <f>91*2</f>
        <v>182</v>
      </c>
      <c r="E64" s="19">
        <f>265*2</f>
        <v>530</v>
      </c>
      <c r="F64" s="19"/>
      <c r="G64" s="8" t="s">
        <v>28</v>
      </c>
      <c r="H64" s="9" t="s">
        <v>274</v>
      </c>
    </row>
    <row r="65" spans="1:8" ht="12.75">
      <c r="A65" s="6" t="s">
        <v>179</v>
      </c>
      <c r="B65" s="13" t="s">
        <v>63</v>
      </c>
      <c r="C65" s="13">
        <v>5</v>
      </c>
      <c r="D65" s="19">
        <f>821*2</f>
        <v>1642</v>
      </c>
      <c r="E65" s="19">
        <f>2244*2</f>
        <v>4488</v>
      </c>
      <c r="F65" s="19"/>
      <c r="G65" s="8" t="s">
        <v>28</v>
      </c>
      <c r="H65" s="9" t="s">
        <v>275</v>
      </c>
    </row>
    <row r="66" spans="1:8" ht="12.75">
      <c r="A66" s="6" t="s">
        <v>180</v>
      </c>
      <c r="B66" s="13" t="s">
        <v>64</v>
      </c>
      <c r="C66" s="13">
        <v>2</v>
      </c>
      <c r="D66" s="19">
        <f>552*2</f>
        <v>1104</v>
      </c>
      <c r="E66" s="19">
        <f>1504*2</f>
        <v>3008</v>
      </c>
      <c r="F66" s="19"/>
      <c r="G66" s="8" t="s">
        <v>28</v>
      </c>
      <c r="H66" s="9" t="s">
        <v>276</v>
      </c>
    </row>
    <row r="67" spans="1:8" ht="12.75">
      <c r="A67" s="6" t="s">
        <v>181</v>
      </c>
      <c r="B67" s="13" t="s">
        <v>65</v>
      </c>
      <c r="C67" s="13">
        <v>7.5</v>
      </c>
      <c r="D67" s="19">
        <f>495*2</f>
        <v>990</v>
      </c>
      <c r="E67" s="19">
        <f>1349*2</f>
        <v>2698</v>
      </c>
      <c r="F67" s="19"/>
      <c r="G67" s="8" t="s">
        <v>28</v>
      </c>
      <c r="H67" s="9" t="s">
        <v>277</v>
      </c>
    </row>
    <row r="68" spans="1:8" ht="12.75">
      <c r="A68" s="6" t="s">
        <v>182</v>
      </c>
      <c r="B68" s="13" t="s">
        <v>66</v>
      </c>
      <c r="C68" s="13">
        <v>1</v>
      </c>
      <c r="D68" s="19">
        <f>299*2</f>
        <v>598</v>
      </c>
      <c r="E68" s="19">
        <f>919*2</f>
        <v>1838</v>
      </c>
      <c r="F68" s="19"/>
      <c r="G68" s="8" t="s">
        <v>28</v>
      </c>
      <c r="H68" s="9" t="s">
        <v>278</v>
      </c>
    </row>
    <row r="69" spans="1:8" ht="12.75">
      <c r="A69" s="6" t="s">
        <v>183</v>
      </c>
      <c r="B69" s="13" t="s">
        <v>67</v>
      </c>
      <c r="C69" s="13">
        <v>1</v>
      </c>
      <c r="D69" s="19">
        <f>265*2</f>
        <v>530</v>
      </c>
      <c r="E69" s="19">
        <f>742*2</f>
        <v>1484</v>
      </c>
      <c r="F69" s="19"/>
      <c r="G69" s="8" t="s">
        <v>28</v>
      </c>
      <c r="H69" s="9" t="s">
        <v>279</v>
      </c>
    </row>
    <row r="70" spans="1:8" ht="12.75">
      <c r="A70" s="6" t="s">
        <v>184</v>
      </c>
      <c r="B70" s="13" t="s">
        <v>68</v>
      </c>
      <c r="C70" s="13">
        <v>5</v>
      </c>
      <c r="D70" s="19">
        <f>415.85*2</f>
        <v>831.7</v>
      </c>
      <c r="E70" s="19">
        <f>1125*2</f>
        <v>2250</v>
      </c>
      <c r="F70" s="19"/>
      <c r="G70" s="8" t="s">
        <v>28</v>
      </c>
      <c r="H70" s="9" t="s">
        <v>280</v>
      </c>
    </row>
    <row r="71" spans="1:8" ht="12.75">
      <c r="A71" s="6" t="s">
        <v>185</v>
      </c>
      <c r="B71" s="13" t="s">
        <v>69</v>
      </c>
      <c r="C71" s="13">
        <v>5</v>
      </c>
      <c r="D71" s="19">
        <f>1584*2</f>
        <v>3168</v>
      </c>
      <c r="E71" s="19">
        <f>4386*2</f>
        <v>8772</v>
      </c>
      <c r="F71" s="19"/>
      <c r="G71" s="8" t="s">
        <v>28</v>
      </c>
      <c r="H71" s="9" t="s">
        <v>281</v>
      </c>
    </row>
    <row r="72" spans="1:8" ht="12.75">
      <c r="A72" s="6" t="s">
        <v>186</v>
      </c>
      <c r="B72" s="13" t="s">
        <v>70</v>
      </c>
      <c r="C72" s="13">
        <v>1</v>
      </c>
      <c r="D72" s="19">
        <f>256*2</f>
        <v>512</v>
      </c>
      <c r="E72" s="19">
        <f>679*2</f>
        <v>1358</v>
      </c>
      <c r="F72" s="19"/>
      <c r="G72" s="8" t="s">
        <v>28</v>
      </c>
      <c r="H72" s="9" t="s">
        <v>282</v>
      </c>
    </row>
    <row r="73" spans="1:8" ht="12.75">
      <c r="A73" s="6" t="s">
        <v>187</v>
      </c>
      <c r="B73" s="13" t="s">
        <v>71</v>
      </c>
      <c r="C73" s="13">
        <v>5</v>
      </c>
      <c r="D73" s="19">
        <f>1209*2</f>
        <v>2418</v>
      </c>
      <c r="E73" s="19">
        <f>3187*2</f>
        <v>6374</v>
      </c>
      <c r="F73" s="19"/>
      <c r="G73" s="8" t="s">
        <v>28</v>
      </c>
      <c r="H73" s="9" t="s">
        <v>283</v>
      </c>
    </row>
    <row r="74" spans="1:8" ht="12.75">
      <c r="A74" s="6" t="s">
        <v>188</v>
      </c>
      <c r="B74" s="13" t="s">
        <v>72</v>
      </c>
      <c r="C74" s="13">
        <v>1</v>
      </c>
      <c r="D74" s="19">
        <f>3*2</f>
        <v>6</v>
      </c>
      <c r="E74" s="19">
        <f>18*2</f>
        <v>36</v>
      </c>
      <c r="F74" s="19"/>
      <c r="G74" s="8" t="s">
        <v>28</v>
      </c>
      <c r="H74" s="9" t="s">
        <v>284</v>
      </c>
    </row>
    <row r="75" spans="1:8" ht="12.75">
      <c r="A75" s="6" t="s">
        <v>189</v>
      </c>
      <c r="B75" s="13" t="s">
        <v>73</v>
      </c>
      <c r="C75" s="13">
        <v>1</v>
      </c>
      <c r="D75" s="19">
        <f>46*2</f>
        <v>92</v>
      </c>
      <c r="E75" s="19">
        <f>185*2</f>
        <v>370</v>
      </c>
      <c r="F75" s="19"/>
      <c r="G75" s="8" t="s">
        <v>28</v>
      </c>
      <c r="H75" s="9" t="s">
        <v>285</v>
      </c>
    </row>
    <row r="76" spans="1:8" ht="12.75">
      <c r="A76" s="6" t="s">
        <v>190</v>
      </c>
      <c r="B76" s="13" t="s">
        <v>74</v>
      </c>
      <c r="C76" s="13">
        <v>1</v>
      </c>
      <c r="D76" s="19">
        <f>362*2</f>
        <v>724</v>
      </c>
      <c r="E76" s="19">
        <f>1012*2</f>
        <v>2024</v>
      </c>
      <c r="F76" s="19"/>
      <c r="G76" s="8" t="s">
        <v>28</v>
      </c>
      <c r="H76" s="9" t="s">
        <v>286</v>
      </c>
    </row>
    <row r="77" spans="1:8" ht="12.75">
      <c r="A77" s="6" t="s">
        <v>191</v>
      </c>
      <c r="B77" s="13" t="s">
        <v>104</v>
      </c>
      <c r="C77" s="13">
        <v>1</v>
      </c>
      <c r="D77" s="19">
        <f>375*2</f>
        <v>750</v>
      </c>
      <c r="E77" s="19">
        <f>1233*2</f>
        <v>2466</v>
      </c>
      <c r="F77" s="19"/>
      <c r="G77" s="8" t="s">
        <v>28</v>
      </c>
      <c r="H77" s="9" t="s">
        <v>287</v>
      </c>
    </row>
    <row r="78" spans="1:8" ht="12.75">
      <c r="A78" s="6" t="s">
        <v>192</v>
      </c>
      <c r="B78" s="13" t="s">
        <v>76</v>
      </c>
      <c r="C78" s="13">
        <v>2</v>
      </c>
      <c r="D78" s="19">
        <f>632*2</f>
        <v>1264</v>
      </c>
      <c r="E78" s="19">
        <f>1766*2</f>
        <v>3532</v>
      </c>
      <c r="F78" s="19"/>
      <c r="G78" s="8" t="s">
        <v>28</v>
      </c>
      <c r="H78" s="42" t="s">
        <v>288</v>
      </c>
    </row>
    <row r="79" spans="1:8" ht="12.75">
      <c r="A79" s="6" t="s">
        <v>193</v>
      </c>
      <c r="B79" s="13" t="s">
        <v>77</v>
      </c>
      <c r="C79" s="13">
        <v>18</v>
      </c>
      <c r="D79" s="19">
        <f>6629*2</f>
        <v>13258</v>
      </c>
      <c r="E79" s="19">
        <f>22583*2</f>
        <v>45166</v>
      </c>
      <c r="F79" s="19"/>
      <c r="G79" s="8" t="s">
        <v>28</v>
      </c>
      <c r="H79" s="42" t="s">
        <v>289</v>
      </c>
    </row>
    <row r="80" spans="1:8" ht="12.75">
      <c r="A80" s="6" t="s">
        <v>194</v>
      </c>
      <c r="B80" s="13" t="s">
        <v>78</v>
      </c>
      <c r="C80" s="13">
        <v>5</v>
      </c>
      <c r="D80" s="19">
        <f>1868*2</f>
        <v>3736</v>
      </c>
      <c r="E80" s="19">
        <f>5485*2</f>
        <v>10970</v>
      </c>
      <c r="F80" s="19"/>
      <c r="G80" s="8" t="s">
        <v>28</v>
      </c>
      <c r="H80" s="42" t="s">
        <v>290</v>
      </c>
    </row>
    <row r="81" spans="1:8" ht="12.75">
      <c r="A81" s="6" t="s">
        <v>195</v>
      </c>
      <c r="B81" s="13" t="s">
        <v>99</v>
      </c>
      <c r="C81" s="13">
        <v>36</v>
      </c>
      <c r="D81" s="19">
        <f>489*2</f>
        <v>978</v>
      </c>
      <c r="E81" s="19">
        <f>1324*2</f>
        <v>2648</v>
      </c>
      <c r="F81" s="19"/>
      <c r="G81" s="8" t="s">
        <v>28</v>
      </c>
      <c r="H81" s="42" t="s">
        <v>291</v>
      </c>
    </row>
    <row r="82" spans="1:8" ht="12.75">
      <c r="A82" s="6" t="s">
        <v>196</v>
      </c>
      <c r="B82" s="13" t="s">
        <v>79</v>
      </c>
      <c r="C82" s="13">
        <v>1</v>
      </c>
      <c r="D82" s="19">
        <f>441*2</f>
        <v>882</v>
      </c>
      <c r="E82" s="19">
        <f>1220*2</f>
        <v>2440</v>
      </c>
      <c r="F82" s="19"/>
      <c r="G82" s="8" t="s">
        <v>28</v>
      </c>
      <c r="H82" s="42" t="s">
        <v>292</v>
      </c>
    </row>
    <row r="83" spans="1:8" ht="12.75">
      <c r="A83" s="6" t="s">
        <v>197</v>
      </c>
      <c r="B83" s="13" t="s">
        <v>80</v>
      </c>
      <c r="C83" s="13">
        <v>1.5</v>
      </c>
      <c r="D83" s="19">
        <f>1411*2</f>
        <v>2822</v>
      </c>
      <c r="E83" s="19">
        <f>4020*2</f>
        <v>8040</v>
      </c>
      <c r="F83" s="19"/>
      <c r="G83" s="8" t="s">
        <v>28</v>
      </c>
      <c r="H83" s="42" t="s">
        <v>293</v>
      </c>
    </row>
    <row r="84" spans="1:8" ht="12.75">
      <c r="A84" s="6" t="s">
        <v>198</v>
      </c>
      <c r="B84" s="13" t="s">
        <v>81</v>
      </c>
      <c r="C84" s="13">
        <v>1</v>
      </c>
      <c r="D84" s="19">
        <f>577*2</f>
        <v>1154</v>
      </c>
      <c r="E84" s="19">
        <f>1701*2</f>
        <v>3402</v>
      </c>
      <c r="F84" s="19"/>
      <c r="G84" s="8" t="s">
        <v>28</v>
      </c>
      <c r="H84" s="42" t="s">
        <v>294</v>
      </c>
    </row>
    <row r="85" spans="1:8" ht="12.75">
      <c r="A85" s="6" t="s">
        <v>199</v>
      </c>
      <c r="B85" s="13" t="s">
        <v>82</v>
      </c>
      <c r="C85" s="13">
        <v>2</v>
      </c>
      <c r="D85" s="19">
        <f>762*2</f>
        <v>1524</v>
      </c>
      <c r="E85" s="19">
        <f>2347*2</f>
        <v>4694</v>
      </c>
      <c r="F85" s="19"/>
      <c r="G85" s="8" t="s">
        <v>28</v>
      </c>
      <c r="H85" s="42" t="s">
        <v>295</v>
      </c>
    </row>
    <row r="86" spans="1:8" ht="12.75">
      <c r="A86" s="6" t="s">
        <v>200</v>
      </c>
      <c r="B86" s="13" t="s">
        <v>83</v>
      </c>
      <c r="C86" s="13">
        <v>13</v>
      </c>
      <c r="D86" s="19">
        <f>539*2</f>
        <v>1078</v>
      </c>
      <c r="E86" s="19">
        <f>1502*2</f>
        <v>3004</v>
      </c>
      <c r="F86" s="19"/>
      <c r="G86" s="8" t="s">
        <v>28</v>
      </c>
      <c r="H86" s="42" t="s">
        <v>296</v>
      </c>
    </row>
    <row r="87" spans="1:8" ht="12.75">
      <c r="A87" s="6" t="s">
        <v>201</v>
      </c>
      <c r="B87" s="13" t="s">
        <v>84</v>
      </c>
      <c r="C87" s="13">
        <v>1</v>
      </c>
      <c r="D87" s="19">
        <f>209*2</f>
        <v>418</v>
      </c>
      <c r="E87" s="19">
        <f>577*2</f>
        <v>1154</v>
      </c>
      <c r="F87" s="19"/>
      <c r="G87" s="8" t="s">
        <v>28</v>
      </c>
      <c r="H87" s="42" t="s">
        <v>297</v>
      </c>
    </row>
    <row r="88" spans="1:8" ht="12.75">
      <c r="A88" s="6" t="s">
        <v>202</v>
      </c>
      <c r="B88" s="13" t="s">
        <v>85</v>
      </c>
      <c r="C88" s="13">
        <v>18</v>
      </c>
      <c r="D88" s="19">
        <f>5998*2</f>
        <v>11996</v>
      </c>
      <c r="E88" s="19">
        <f>19086*2</f>
        <v>38172</v>
      </c>
      <c r="F88" s="19"/>
      <c r="G88" s="8" t="s">
        <v>28</v>
      </c>
      <c r="H88" s="42" t="s">
        <v>298</v>
      </c>
    </row>
    <row r="89" spans="1:8" ht="12.75">
      <c r="A89" s="6" t="s">
        <v>203</v>
      </c>
      <c r="B89" s="13" t="s">
        <v>86</v>
      </c>
      <c r="C89" s="13">
        <v>5</v>
      </c>
      <c r="D89" s="19">
        <f>1597*2</f>
        <v>3194</v>
      </c>
      <c r="E89" s="19">
        <f>4711*2</f>
        <v>9422</v>
      </c>
      <c r="F89" s="19"/>
      <c r="G89" s="8" t="s">
        <v>28</v>
      </c>
      <c r="H89" s="42" t="s">
        <v>299</v>
      </c>
    </row>
    <row r="90" spans="1:8" ht="12.75">
      <c r="A90" s="6" t="s">
        <v>204</v>
      </c>
      <c r="B90" s="13" t="s">
        <v>87</v>
      </c>
      <c r="C90" s="13">
        <v>5</v>
      </c>
      <c r="D90" s="19">
        <f>2519*2</f>
        <v>5038</v>
      </c>
      <c r="E90" s="19">
        <f>7239*2</f>
        <v>14478</v>
      </c>
      <c r="F90" s="19"/>
      <c r="G90" s="8" t="s">
        <v>28</v>
      </c>
      <c r="H90" s="42" t="s">
        <v>300</v>
      </c>
    </row>
    <row r="91" spans="1:8" ht="12.75">
      <c r="A91" s="6" t="s">
        <v>205</v>
      </c>
      <c r="B91" s="13" t="s">
        <v>88</v>
      </c>
      <c r="C91" s="13">
        <v>7</v>
      </c>
      <c r="D91" s="19">
        <v>2</v>
      </c>
      <c r="E91" s="19">
        <v>0</v>
      </c>
      <c r="F91" s="19"/>
      <c r="G91" s="8" t="s">
        <v>28</v>
      </c>
      <c r="H91" s="42" t="s">
        <v>301</v>
      </c>
    </row>
    <row r="92" spans="1:8" ht="12.75">
      <c r="A92" s="6" t="s">
        <v>206</v>
      </c>
      <c r="B92" s="13" t="s">
        <v>89</v>
      </c>
      <c r="C92" s="13">
        <v>5</v>
      </c>
      <c r="D92" s="19">
        <f>2227*2</f>
        <v>4454</v>
      </c>
      <c r="E92" s="19">
        <f>6248*2</f>
        <v>12496</v>
      </c>
      <c r="F92" s="19"/>
      <c r="G92" s="8" t="s">
        <v>28</v>
      </c>
      <c r="H92" s="42" t="s">
        <v>302</v>
      </c>
    </row>
    <row r="93" spans="1:8" ht="12.75">
      <c r="A93" s="6" t="s">
        <v>207</v>
      </c>
      <c r="B93" s="13" t="s">
        <v>90</v>
      </c>
      <c r="C93" s="13">
        <v>24</v>
      </c>
      <c r="D93" s="19">
        <f>4346*2</f>
        <v>8692</v>
      </c>
      <c r="E93" s="19">
        <f>15259*2</f>
        <v>30518</v>
      </c>
      <c r="F93" s="19"/>
      <c r="G93" s="8" t="s">
        <v>28</v>
      </c>
      <c r="H93" s="42" t="s">
        <v>303</v>
      </c>
    </row>
    <row r="94" spans="1:8" ht="12.75">
      <c r="A94" s="6" t="s">
        <v>208</v>
      </c>
      <c r="B94" s="13" t="s">
        <v>91</v>
      </c>
      <c r="C94" s="13">
        <v>6.9</v>
      </c>
      <c r="D94" s="19">
        <f>2775*2</f>
        <v>5550</v>
      </c>
      <c r="E94" s="19">
        <f>4912*2</f>
        <v>9824</v>
      </c>
      <c r="F94" s="19"/>
      <c r="G94" s="8" t="s">
        <v>28</v>
      </c>
      <c r="H94" s="42" t="s">
        <v>304</v>
      </c>
    </row>
    <row r="95" spans="1:8" ht="12.75">
      <c r="A95" s="6" t="s">
        <v>209</v>
      </c>
      <c r="B95" s="13" t="s">
        <v>92</v>
      </c>
      <c r="C95" s="13">
        <v>25</v>
      </c>
      <c r="D95" s="19">
        <f>3026*2</f>
        <v>6052</v>
      </c>
      <c r="E95" s="19">
        <f>9403*2</f>
        <v>18806</v>
      </c>
      <c r="F95" s="19"/>
      <c r="G95" s="8" t="s">
        <v>28</v>
      </c>
      <c r="H95" s="42" t="s">
        <v>305</v>
      </c>
    </row>
    <row r="96" spans="1:8" ht="12.75">
      <c r="A96" s="6" t="s">
        <v>210</v>
      </c>
      <c r="B96" s="13" t="s">
        <v>93</v>
      </c>
      <c r="C96" s="13">
        <v>23</v>
      </c>
      <c r="D96" s="19">
        <f>9606*2</f>
        <v>19212</v>
      </c>
      <c r="E96" s="19">
        <f>34348*2</f>
        <v>68696</v>
      </c>
      <c r="F96" s="19"/>
      <c r="G96" s="8" t="s">
        <v>28</v>
      </c>
      <c r="H96" s="42" t="s">
        <v>306</v>
      </c>
    </row>
    <row r="97" spans="1:8" ht="12.75">
      <c r="A97" s="6" t="s">
        <v>211</v>
      </c>
      <c r="B97" s="13" t="s">
        <v>94</v>
      </c>
      <c r="C97" s="13">
        <v>19</v>
      </c>
      <c r="D97" s="19">
        <f>5585*2</f>
        <v>11170</v>
      </c>
      <c r="E97" s="19">
        <f>19010*2</f>
        <v>38020</v>
      </c>
      <c r="F97" s="19"/>
      <c r="G97" s="8" t="s">
        <v>28</v>
      </c>
      <c r="H97" s="42" t="s">
        <v>307</v>
      </c>
    </row>
    <row r="98" spans="1:8" ht="12.75">
      <c r="A98" s="6" t="s">
        <v>212</v>
      </c>
      <c r="B98" s="13" t="s">
        <v>95</v>
      </c>
      <c r="C98" s="13">
        <v>1</v>
      </c>
      <c r="D98" s="19">
        <f>436*2</f>
        <v>872</v>
      </c>
      <c r="E98" s="19">
        <f>1289*2</f>
        <v>2578</v>
      </c>
      <c r="F98" s="19"/>
      <c r="G98" s="8" t="s">
        <v>28</v>
      </c>
      <c r="H98" s="42" t="s">
        <v>308</v>
      </c>
    </row>
    <row r="99" spans="1:8" ht="12.75">
      <c r="A99" s="6" t="s">
        <v>213</v>
      </c>
      <c r="B99" s="13" t="s">
        <v>96</v>
      </c>
      <c r="C99" s="13">
        <v>11</v>
      </c>
      <c r="D99" s="19">
        <f>1004*2</f>
        <v>2008</v>
      </c>
      <c r="E99" s="19">
        <f>1393*2</f>
        <v>2786</v>
      </c>
      <c r="F99" s="19"/>
      <c r="G99" s="8" t="s">
        <v>28</v>
      </c>
      <c r="H99" s="42" t="s">
        <v>309</v>
      </c>
    </row>
    <row r="100" spans="1:8" ht="12.75">
      <c r="A100" s="6" t="s">
        <v>214</v>
      </c>
      <c r="B100" s="13" t="s">
        <v>97</v>
      </c>
      <c r="C100" s="13">
        <v>8</v>
      </c>
      <c r="D100" s="19">
        <f>5366*2</f>
        <v>10732</v>
      </c>
      <c r="E100" s="19">
        <f>13939*2</f>
        <v>27878</v>
      </c>
      <c r="F100" s="19"/>
      <c r="G100" s="8" t="s">
        <v>28</v>
      </c>
      <c r="H100" s="42" t="s">
        <v>310</v>
      </c>
    </row>
    <row r="101" spans="1:8" ht="12.75">
      <c r="A101" s="6" t="s">
        <v>215</v>
      </c>
      <c r="B101" s="13" t="s">
        <v>98</v>
      </c>
      <c r="C101" s="13">
        <v>3</v>
      </c>
      <c r="D101" s="19">
        <f>845*2</f>
        <v>1690</v>
      </c>
      <c r="E101" s="19">
        <f>2496*2</f>
        <v>4992</v>
      </c>
      <c r="F101" s="19"/>
      <c r="G101" s="8" t="s">
        <v>28</v>
      </c>
      <c r="H101" s="42" t="s">
        <v>311</v>
      </c>
    </row>
    <row r="102" spans="1:9" s="12" customFormat="1" ht="12.75">
      <c r="A102" s="6" t="s">
        <v>216</v>
      </c>
      <c r="B102" s="13" t="s">
        <v>75</v>
      </c>
      <c r="C102" s="13">
        <v>2</v>
      </c>
      <c r="D102" s="19">
        <f>908*2</f>
        <v>1816</v>
      </c>
      <c r="E102" s="19">
        <f>2590*2</f>
        <v>5180</v>
      </c>
      <c r="F102" s="19"/>
      <c r="G102" s="8" t="s">
        <v>28</v>
      </c>
      <c r="H102" s="42" t="s">
        <v>312</v>
      </c>
      <c r="I102" s="11"/>
    </row>
    <row r="103" spans="1:8" ht="12.75">
      <c r="A103" s="6" t="s">
        <v>217</v>
      </c>
      <c r="B103" s="13" t="s">
        <v>110</v>
      </c>
      <c r="C103" s="13">
        <v>4</v>
      </c>
      <c r="D103" s="19"/>
      <c r="E103" s="19"/>
      <c r="F103" s="19">
        <v>893</v>
      </c>
      <c r="G103" s="8" t="s">
        <v>111</v>
      </c>
      <c r="H103" s="42" t="s">
        <v>313</v>
      </c>
    </row>
    <row r="104" spans="1:8" ht="12.75">
      <c r="A104" s="12"/>
      <c r="B104" s="47" t="s">
        <v>8</v>
      </c>
      <c r="C104" s="53">
        <f>SUM(C18:C103)</f>
        <v>550.9</v>
      </c>
      <c r="D104" s="48">
        <f>SUM(D18:D103)</f>
        <v>213679.7</v>
      </c>
      <c r="E104" s="48">
        <f>SUM(E18:E103)</f>
        <v>636364</v>
      </c>
      <c r="F104" s="48">
        <f>SUM(F18:F103)</f>
        <v>16333</v>
      </c>
      <c r="G104" s="39"/>
      <c r="H104" s="40"/>
    </row>
    <row r="105" spans="1:8" ht="12.75">
      <c r="A105" s="36"/>
      <c r="B105" s="47" t="s">
        <v>323</v>
      </c>
      <c r="C105" s="28"/>
      <c r="D105" s="48" t="s">
        <v>13</v>
      </c>
      <c r="E105" s="48" t="s">
        <v>14</v>
      </c>
      <c r="F105" s="48"/>
      <c r="G105" s="28"/>
      <c r="H105" s="40"/>
    </row>
    <row r="106" spans="1:8" ht="12.75">
      <c r="A106" s="6" t="s">
        <v>218</v>
      </c>
      <c r="B106" s="13" t="s">
        <v>100</v>
      </c>
      <c r="C106" s="13">
        <v>16</v>
      </c>
      <c r="D106" s="19">
        <f>12890*2</f>
        <v>25780</v>
      </c>
      <c r="E106" s="19">
        <f>9756*2</f>
        <v>19512</v>
      </c>
      <c r="F106" s="19"/>
      <c r="G106" s="8" t="s">
        <v>6</v>
      </c>
      <c r="H106" s="42" t="s">
        <v>314</v>
      </c>
    </row>
    <row r="107" spans="1:8" ht="12.75">
      <c r="A107" s="6" t="s">
        <v>219</v>
      </c>
      <c r="B107" s="13" t="s">
        <v>101</v>
      </c>
      <c r="C107" s="52">
        <v>18</v>
      </c>
      <c r="D107" s="19">
        <f>11514*2</f>
        <v>23028</v>
      </c>
      <c r="E107" s="19">
        <f>6440*2</f>
        <v>12880</v>
      </c>
      <c r="F107" s="19"/>
      <c r="G107" s="8" t="s">
        <v>6</v>
      </c>
      <c r="H107" s="42" t="s">
        <v>315</v>
      </c>
    </row>
    <row r="108" spans="1:9" s="12" customFormat="1" ht="12.75">
      <c r="A108" s="6" t="s">
        <v>220</v>
      </c>
      <c r="B108" s="13" t="s">
        <v>102</v>
      </c>
      <c r="C108" s="50">
        <v>22</v>
      </c>
      <c r="D108" s="19">
        <f>7685*2</f>
        <v>15370</v>
      </c>
      <c r="E108" s="19">
        <f>5540*2</f>
        <v>11080</v>
      </c>
      <c r="F108" s="19"/>
      <c r="G108" s="8" t="s">
        <v>6</v>
      </c>
      <c r="H108" s="42" t="s">
        <v>316</v>
      </c>
      <c r="I108" s="11"/>
    </row>
    <row r="109" spans="1:8" ht="12.75">
      <c r="A109" s="6" t="s">
        <v>221</v>
      </c>
      <c r="B109" s="13" t="s">
        <v>103</v>
      </c>
      <c r="C109" s="50">
        <v>17</v>
      </c>
      <c r="D109" s="19">
        <f>12273*2</f>
        <v>24546</v>
      </c>
      <c r="E109" s="19">
        <f>11545*2</f>
        <v>23090</v>
      </c>
      <c r="F109" s="19"/>
      <c r="G109" s="8" t="s">
        <v>6</v>
      </c>
      <c r="H109" s="42" t="s">
        <v>317</v>
      </c>
    </row>
    <row r="110" spans="1:9" s="12" customFormat="1" ht="12.75">
      <c r="A110" s="6" t="s">
        <v>222</v>
      </c>
      <c r="B110" s="7" t="s">
        <v>27</v>
      </c>
      <c r="C110" s="13">
        <v>19</v>
      </c>
      <c r="D110" s="41">
        <f>2769*2</f>
        <v>5538</v>
      </c>
      <c r="E110" s="41">
        <f>2676*2</f>
        <v>5352</v>
      </c>
      <c r="F110" s="20"/>
      <c r="G110" s="8" t="s">
        <v>6</v>
      </c>
      <c r="H110" s="35" t="s">
        <v>318</v>
      </c>
      <c r="I110" s="11"/>
    </row>
    <row r="111" spans="1:8" ht="13.5" thickBot="1">
      <c r="A111" s="6" t="s">
        <v>223</v>
      </c>
      <c r="B111" s="43" t="s">
        <v>116</v>
      </c>
      <c r="C111" s="51">
        <v>21</v>
      </c>
      <c r="D111" s="45">
        <f>14011*2</f>
        <v>28022</v>
      </c>
      <c r="E111" s="45">
        <f>6864*2</f>
        <v>13728</v>
      </c>
      <c r="F111" s="45"/>
      <c r="G111" s="44" t="s">
        <v>6</v>
      </c>
      <c r="H111" s="46" t="s">
        <v>319</v>
      </c>
    </row>
    <row r="112" spans="1:8" ht="12.75">
      <c r="A112" s="12"/>
      <c r="B112" s="47" t="s">
        <v>8</v>
      </c>
      <c r="C112" s="53">
        <f>SUM(C106:C111)</f>
        <v>113</v>
      </c>
      <c r="D112" s="48">
        <f>SUM(D106:D111)</f>
        <v>122284</v>
      </c>
      <c r="E112" s="48">
        <f>SUM(E106:E111)</f>
        <v>85642</v>
      </c>
      <c r="F112" s="37"/>
      <c r="G112" s="39"/>
      <c r="H112" s="40"/>
    </row>
    <row r="116" ht="12.75">
      <c r="B116" s="18" t="s">
        <v>129</v>
      </c>
    </row>
    <row r="117" ht="12.75">
      <c r="B117" s="18"/>
    </row>
    <row r="118" spans="2:8" ht="12.75">
      <c r="B118" s="18" t="s">
        <v>130</v>
      </c>
      <c r="H118" s="21"/>
    </row>
    <row r="119" ht="12.75">
      <c r="B119" s="18"/>
    </row>
    <row r="120" ht="12.75">
      <c r="B120" s="18" t="s">
        <v>131</v>
      </c>
    </row>
    <row r="125" ht="12.75">
      <c r="B125" s="14"/>
    </row>
    <row r="127" ht="12.75">
      <c r="B127" s="14"/>
    </row>
  </sheetData>
  <sheetProtection/>
  <mergeCells count="4">
    <mergeCell ref="D5:F5"/>
    <mergeCell ref="G5:G6"/>
    <mergeCell ref="A5:A6"/>
    <mergeCell ref="H5:H6"/>
  </mergeCells>
  <printOptions/>
  <pageMargins left="0.4330708661417323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2013-09-11T05:40:10Z</cp:lastPrinted>
  <dcterms:created xsi:type="dcterms:W3CDTF">2011-12-19T09:08:32Z</dcterms:created>
  <dcterms:modified xsi:type="dcterms:W3CDTF">2013-09-11T05:40:13Z</dcterms:modified>
  <cp:category/>
  <cp:version/>
  <cp:contentType/>
  <cp:contentStatus/>
</cp:coreProperties>
</file>